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1897c32774e2400/SyncOrganizer/DrSamsHealth/Books/The Rational Diet/Spreadsheets/"/>
    </mc:Choice>
  </mc:AlternateContent>
  <xr:revisionPtr revIDLastSave="340" documentId="8_{01E6C3C2-1F07-4D41-A41C-CE926D2136CE}" xr6:coauthVersionLast="47" xr6:coauthVersionMax="47" xr10:uidLastSave="{D110F68F-9CAE-4326-A9A6-231CF7CF94F0}"/>
  <bookViews>
    <workbookView xWindow="-110" yWindow="-110" windowWidth="51420" windowHeight="21220" xr2:uid="{D636331B-7D2F-4632-88B2-2D0E9B341C25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1" l="1"/>
  <c r="D64" i="1"/>
  <c r="D63" i="1"/>
  <c r="D62" i="1"/>
  <c r="D61" i="1"/>
  <c r="D51" i="1"/>
  <c r="D53" i="1" s="1"/>
  <c r="G53" i="1"/>
  <c r="D41" i="1"/>
  <c r="G45" i="1"/>
  <c r="G41" i="1"/>
  <c r="G35" i="1"/>
  <c r="G34" i="1"/>
  <c r="D30" i="1"/>
  <c r="D31" i="1"/>
  <c r="D20" i="1"/>
  <c r="G10" i="1"/>
  <c r="G9" i="1"/>
  <c r="G8" i="1"/>
  <c r="G20" i="1" s="1"/>
  <c r="D11" i="1"/>
  <c r="D13" i="1" s="1"/>
  <c r="D42" i="1" s="1"/>
  <c r="D34" i="1" l="1"/>
  <c r="D35" i="1"/>
  <c r="D14" i="1"/>
  <c r="G11" i="1"/>
  <c r="G19" i="1" s="1"/>
  <c r="G23" i="1" s="1"/>
  <c r="D43" i="1"/>
  <c r="D44" i="1" s="1"/>
  <c r="D19" i="1"/>
  <c r="D47" i="1" l="1"/>
  <c r="D58" i="1" s="1"/>
  <c r="D45" i="1"/>
  <c r="G22" i="1"/>
  <c r="G14" i="1"/>
  <c r="G13" i="1"/>
  <c r="G42" i="1" s="1"/>
  <c r="G43" i="1" s="1"/>
  <c r="G44" i="1" s="1"/>
  <c r="G47" i="1" s="1"/>
  <c r="D23" i="1"/>
  <c r="D22" i="1"/>
</calcChain>
</file>

<file path=xl/sharedStrings.xml><?xml version="1.0" encoding="utf-8"?>
<sst xmlns="http://schemas.openxmlformats.org/spreadsheetml/2006/main" count="94" uniqueCount="63">
  <si>
    <t>Body Fat Percentage Calculators</t>
  </si>
  <si>
    <t>US Military Method</t>
  </si>
  <si>
    <t>Imperial</t>
  </si>
  <si>
    <t>Metric</t>
  </si>
  <si>
    <t>Neck, inches</t>
  </si>
  <si>
    <t>Height, inches</t>
  </si>
  <si>
    <t>Neck, cm</t>
  </si>
  <si>
    <t>Height, cm</t>
  </si>
  <si>
    <t>Waist, inches</t>
  </si>
  <si>
    <t>Wasit, cm</t>
  </si>
  <si>
    <t>Waist, cm</t>
  </si>
  <si>
    <t>BF% - Men</t>
  </si>
  <si>
    <t>BF% - Women</t>
  </si>
  <si>
    <t>NHANES Method</t>
  </si>
  <si>
    <t>RMR/BMR Calculators</t>
  </si>
  <si>
    <t>Mifflin-St.Jeor Equation</t>
  </si>
  <si>
    <t>Weight, lb</t>
  </si>
  <si>
    <t>Weight, pounds</t>
  </si>
  <si>
    <t>Age, years</t>
  </si>
  <si>
    <t>Weight, kg</t>
  </si>
  <si>
    <t>RMR - Men, kcal/day</t>
  </si>
  <si>
    <t>RMR - Women, kcal/day</t>
  </si>
  <si>
    <t>Cunnigham Equation</t>
  </si>
  <si>
    <t>RMR, kcal/day</t>
  </si>
  <si>
    <t>Body Fat, %</t>
  </si>
  <si>
    <t>Lean Body Mass, lb</t>
  </si>
  <si>
    <t>Body Fat, lb</t>
  </si>
  <si>
    <t>Instructions</t>
  </si>
  <si>
    <t>Enter your waist circumference</t>
  </si>
  <si>
    <t>Enter your neck circumference</t>
  </si>
  <si>
    <t>Enter your hip circumference</t>
  </si>
  <si>
    <t>Enter your height</t>
  </si>
  <si>
    <t>This if your body fat percentage (men)</t>
  </si>
  <si>
    <t>This if your body fat percentage (women)</t>
  </si>
  <si>
    <t>Enter your weight</t>
  </si>
  <si>
    <t>Enter your age</t>
  </si>
  <si>
    <t>Enter your body fat percentage</t>
  </si>
  <si>
    <t>This is your lean body mass</t>
  </si>
  <si>
    <t>This is your body fat mass</t>
  </si>
  <si>
    <t>This is your RMR</t>
  </si>
  <si>
    <t>This is you RMR (Men)</t>
  </si>
  <si>
    <t>This is you RMR (Women)</t>
  </si>
  <si>
    <t>BMI</t>
  </si>
  <si>
    <t>TDEE Calculator</t>
  </si>
  <si>
    <t>BMR/RMR</t>
  </si>
  <si>
    <t xml:space="preserve">Enter your BMR/RMR </t>
  </si>
  <si>
    <t>Physical activity level</t>
  </si>
  <si>
    <t>This is your lean body mass percentage</t>
  </si>
  <si>
    <t>Lean Body Mass, %</t>
  </si>
  <si>
    <t>Body Fat, kg</t>
  </si>
  <si>
    <t>Lean Body Mass, kg</t>
  </si>
  <si>
    <t>Hip, inches</t>
  </si>
  <si>
    <t>Height, in</t>
  </si>
  <si>
    <t>Sedentary</t>
  </si>
  <si>
    <t>Lightly active</t>
  </si>
  <si>
    <t>Moderately active</t>
  </si>
  <si>
    <t>Very active</t>
  </si>
  <si>
    <t>Extremely active</t>
  </si>
  <si>
    <t>This is your TDEE corresponding to sedentary lifestyle</t>
  </si>
  <si>
    <t>This is your TDEE corresponding to lightly active lifestyle</t>
  </si>
  <si>
    <t>This is your TDEE corresponding to moderately active lifestyle</t>
  </si>
  <si>
    <t>This is your TDEE corresponding to very active lifestyle</t>
  </si>
  <si>
    <t>This is your TDEE corresponding to extremely active lifestyle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</si>
</sst>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1" fillId="2" borderId="2" applyNumberFormat="0" applyAlignment="0" applyProtection="0"/>
    <xf numFmtId="0" fontId="2" fillId="2" borderId="1" applyNumberFormat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2" borderId="1" xfId="2" applyAlignment="1">
      <alignment horizontal="center"/>
    </xf>
    <xf numFmtId="164" fontId="1" fillId="2" borderId="2" xfId="1" applyNumberFormat="1" applyAlignment="1">
      <alignment horizontal="center"/>
    </xf>
    <xf numFmtId="1" fontId="2" fillId="2" borderId="1" xfId="2" applyNumberFormat="1" applyAlignment="1">
      <alignment horizontal="center"/>
    </xf>
    <xf numFmtId="165" fontId="2" fillId="2" borderId="1" xfId="2" applyNumberFormat="1" applyAlignment="1">
      <alignment horizontal="center"/>
    </xf>
    <xf numFmtId="164" fontId="2" fillId="2" borderId="1" xfId="2" applyNumberFormat="1" applyAlignment="1">
      <alignment horizontal="center"/>
    </xf>
    <xf numFmtId="1" fontId="1" fillId="2" borderId="2" xfId="1" applyNumberForma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5" fontId="0" fillId="0" borderId="0" xfId="0" applyNumberFormat="1" applyAlignment="1">
      <alignment horizontal="center"/>
    </xf>
    <xf numFmtId="164" fontId="1" fillId="2" borderId="2" xfId="3" applyNumberFormat="1" applyFont="1" applyFill="1" applyBorder="1" applyAlignment="1">
      <alignment horizontal="center"/>
    </xf>
    <xf numFmtId="165" fontId="1" fillId="2" borderId="2" xfId="1" applyNumberFormat="1" applyAlignment="1">
      <alignment horizontal="center"/>
    </xf>
    <xf numFmtId="2" fontId="2" fillId="2" borderId="1" xfId="2" applyNumberFormat="1" applyAlignment="1">
      <alignment horizontal="center"/>
    </xf>
    <xf numFmtId="1" fontId="2" fillId="2" borderId="1" xfId="2" applyNumberFormat="1"/>
    <xf numFmtId="0" fontId="10" fillId="0" borderId="0" xfId="4" applyFont="1"/>
  </cellXfs>
  <cellStyles count="5">
    <cellStyle name="Calculation" xfId="2" builtinId="22"/>
    <cellStyle name="Explanatory Text" xfId="4" builtinId="53"/>
    <cellStyle name="Normal" xfId="0" builtinId="0"/>
    <cellStyle name="Output" xfId="1" builtinId="2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5751E-F880-4B84-AE90-B4DFC8FB0550}">
  <dimension ref="B3:I65"/>
  <sheetViews>
    <sheetView tabSelected="1" workbookViewId="0">
      <selection activeCell="I66" sqref="I66"/>
    </sheetView>
  </sheetViews>
  <sheetFormatPr defaultRowHeight="14.5" x14ac:dyDescent="0.35"/>
  <cols>
    <col min="3" max="3" width="24.36328125" customWidth="1"/>
    <col min="4" max="4" width="8.90625" customWidth="1"/>
    <col min="5" max="5" width="3.54296875" customWidth="1"/>
    <col min="6" max="6" width="20.90625" customWidth="1"/>
    <col min="7" max="7" width="7.1796875" customWidth="1"/>
  </cols>
  <sheetData>
    <row r="3" spans="2:9" ht="15.5" x14ac:dyDescent="0.35">
      <c r="B3" s="12" t="s">
        <v>0</v>
      </c>
    </row>
    <row r="5" spans="2:9" x14ac:dyDescent="0.35">
      <c r="C5" s="9" t="s">
        <v>1</v>
      </c>
    </row>
    <row r="7" spans="2:9" ht="15.5" x14ac:dyDescent="0.35">
      <c r="D7" s="1" t="s">
        <v>2</v>
      </c>
      <c r="G7" s="1" t="s">
        <v>3</v>
      </c>
      <c r="I7" s="8" t="s">
        <v>27</v>
      </c>
    </row>
    <row r="8" spans="2:9" x14ac:dyDescent="0.35">
      <c r="C8" t="s">
        <v>8</v>
      </c>
      <c r="D8" s="5">
        <v>38</v>
      </c>
      <c r="F8" t="s">
        <v>10</v>
      </c>
      <c r="G8" s="5">
        <f>CONVERT(D8,"in","cm")</f>
        <v>96.52</v>
      </c>
      <c r="I8" s="10" t="s">
        <v>28</v>
      </c>
    </row>
    <row r="9" spans="2:9" x14ac:dyDescent="0.35">
      <c r="C9" t="s">
        <v>4</v>
      </c>
      <c r="D9" s="5">
        <v>16</v>
      </c>
      <c r="F9" t="s">
        <v>6</v>
      </c>
      <c r="G9" s="5">
        <f>CONVERT(D9,"in","cm")</f>
        <v>40.64</v>
      </c>
      <c r="I9" s="10" t="s">
        <v>29</v>
      </c>
    </row>
    <row r="10" spans="2:9" x14ac:dyDescent="0.35">
      <c r="C10" t="s">
        <v>51</v>
      </c>
      <c r="D10" s="5">
        <v>42</v>
      </c>
      <c r="F10" t="s">
        <v>9</v>
      </c>
      <c r="G10" s="5">
        <f>CONVERT(D10,"in","cm")</f>
        <v>106.67999999999999</v>
      </c>
      <c r="I10" s="10" t="s">
        <v>30</v>
      </c>
    </row>
    <row r="11" spans="2:9" x14ac:dyDescent="0.35">
      <c r="C11" t="s">
        <v>5</v>
      </c>
      <c r="D11" s="5">
        <f>6*12</f>
        <v>72</v>
      </c>
      <c r="F11" t="s">
        <v>7</v>
      </c>
      <c r="G11" s="5">
        <f>CONVERT(D11,"in","cm")</f>
        <v>182.88</v>
      </c>
      <c r="I11" s="10" t="s">
        <v>31</v>
      </c>
    </row>
    <row r="12" spans="2:9" x14ac:dyDescent="0.35">
      <c r="D12" s="1"/>
      <c r="G12" s="1"/>
      <c r="I12" s="10"/>
    </row>
    <row r="13" spans="2:9" x14ac:dyDescent="0.35">
      <c r="C13" t="s">
        <v>11</v>
      </c>
      <c r="D13" s="3">
        <f>(86.01*LOG(D8-D9,10)-70.041*LOG(D11,10)+36.76)/100</f>
        <v>0.22132349394975498</v>
      </c>
      <c r="G13" s="3">
        <f>(86.01*LOG(CONVERT(G8-G9,"cm","in"),10)-70.041*LOG(CONVERT(G11,"cm","in"),10)+36.76)/100</f>
        <v>0.22132349394975498</v>
      </c>
      <c r="I13" s="10" t="s">
        <v>32</v>
      </c>
    </row>
    <row r="14" spans="2:9" x14ac:dyDescent="0.35">
      <c r="C14" t="s">
        <v>12</v>
      </c>
      <c r="D14" s="3">
        <f>(163.205*LOG(D8+D10-D9,10)-97.684*LOG(D11,10)-78.387)/100</f>
        <v>0.34958935072648245</v>
      </c>
      <c r="G14" s="3">
        <f>(163.205*LOG(CONVERT(G8+G10-G9,"cm","in"),10)-97.684*LOG(CONVERT(G11,"cm","in"),10)-78.387)/100</f>
        <v>0.34958935072648245</v>
      </c>
      <c r="I14" s="10" t="s">
        <v>33</v>
      </c>
    </row>
    <row r="15" spans="2:9" x14ac:dyDescent="0.35">
      <c r="I15" s="10"/>
    </row>
    <row r="16" spans="2:9" x14ac:dyDescent="0.35">
      <c r="C16" s="9" t="s">
        <v>13</v>
      </c>
      <c r="I16" s="10"/>
    </row>
    <row r="17" spans="2:9" x14ac:dyDescent="0.35">
      <c r="I17" s="10"/>
    </row>
    <row r="18" spans="2:9" x14ac:dyDescent="0.35">
      <c r="D18" s="1" t="s">
        <v>2</v>
      </c>
      <c r="G18" s="1" t="s">
        <v>3</v>
      </c>
      <c r="I18" s="10"/>
    </row>
    <row r="19" spans="2:9" x14ac:dyDescent="0.35">
      <c r="C19" t="s">
        <v>5</v>
      </c>
      <c r="D19" s="16">
        <f>D11</f>
        <v>72</v>
      </c>
      <c r="F19" t="s">
        <v>5</v>
      </c>
      <c r="G19" s="5">
        <f>G11</f>
        <v>182.88</v>
      </c>
      <c r="I19" s="10" t="s">
        <v>31</v>
      </c>
    </row>
    <row r="20" spans="2:9" x14ac:dyDescent="0.35">
      <c r="C20" t="s">
        <v>8</v>
      </c>
      <c r="D20" s="16">
        <f>D8</f>
        <v>38</v>
      </c>
      <c r="F20" t="s">
        <v>8</v>
      </c>
      <c r="G20" s="5">
        <f>G8</f>
        <v>96.52</v>
      </c>
      <c r="I20" s="10" t="s">
        <v>28</v>
      </c>
    </row>
    <row r="21" spans="2:9" x14ac:dyDescent="0.35">
      <c r="D21" s="1"/>
      <c r="G21" s="1"/>
      <c r="I21" s="10"/>
    </row>
    <row r="22" spans="2:9" x14ac:dyDescent="0.35">
      <c r="C22" t="s">
        <v>11</v>
      </c>
      <c r="D22" s="3">
        <f>(64-20*D19/D20)/100</f>
        <v>0.26105263157894742</v>
      </c>
      <c r="G22" s="3">
        <f>(64-20*G19/G20)/100</f>
        <v>0.26105263157894731</v>
      </c>
      <c r="I22" s="10" t="s">
        <v>32</v>
      </c>
    </row>
    <row r="23" spans="2:9" x14ac:dyDescent="0.35">
      <c r="C23" t="s">
        <v>12</v>
      </c>
      <c r="D23" s="3">
        <f>(76-20*D19/D20)/100</f>
        <v>0.38105263157894742</v>
      </c>
      <c r="G23" s="3">
        <f>(76-20*G19/G20)/100</f>
        <v>0.38105263157894731</v>
      </c>
      <c r="I23" s="10" t="s">
        <v>33</v>
      </c>
    </row>
    <row r="24" spans="2:9" x14ac:dyDescent="0.35">
      <c r="I24" s="10"/>
    </row>
    <row r="25" spans="2:9" ht="15.5" x14ac:dyDescent="0.35">
      <c r="B25" s="12" t="s">
        <v>14</v>
      </c>
      <c r="I25" s="10"/>
    </row>
    <row r="26" spans="2:9" x14ac:dyDescent="0.35">
      <c r="I26" s="10"/>
    </row>
    <row r="27" spans="2:9" x14ac:dyDescent="0.35">
      <c r="C27" s="9" t="s">
        <v>15</v>
      </c>
      <c r="I27" s="10"/>
    </row>
    <row r="28" spans="2:9" x14ac:dyDescent="0.35">
      <c r="I28" s="10"/>
    </row>
    <row r="29" spans="2:9" x14ac:dyDescent="0.35">
      <c r="D29" s="1" t="s">
        <v>2</v>
      </c>
      <c r="G29" s="1" t="s">
        <v>3</v>
      </c>
      <c r="I29" s="10"/>
    </row>
    <row r="30" spans="2:9" x14ac:dyDescent="0.35">
      <c r="C30" t="s">
        <v>17</v>
      </c>
      <c r="D30" s="5">
        <f>CONVERT(G30,"kg","lbm")</f>
        <v>198.41603596638981</v>
      </c>
      <c r="F30" t="s">
        <v>19</v>
      </c>
      <c r="G30" s="5">
        <v>90</v>
      </c>
      <c r="I30" s="10" t="s">
        <v>34</v>
      </c>
    </row>
    <row r="31" spans="2:9" x14ac:dyDescent="0.35">
      <c r="C31" t="s">
        <v>5</v>
      </c>
      <c r="D31" s="5">
        <f>CONVERT(G31, "cm", "in")</f>
        <v>71.653543307086608</v>
      </c>
      <c r="F31" t="s">
        <v>7</v>
      </c>
      <c r="G31" s="5">
        <v>182</v>
      </c>
      <c r="I31" s="10" t="s">
        <v>31</v>
      </c>
    </row>
    <row r="32" spans="2:9" x14ac:dyDescent="0.35">
      <c r="C32" t="s">
        <v>18</v>
      </c>
      <c r="D32" s="4">
        <v>43</v>
      </c>
      <c r="F32" t="s">
        <v>18</v>
      </c>
      <c r="G32" s="4">
        <v>43</v>
      </c>
      <c r="I32" s="10" t="s">
        <v>35</v>
      </c>
    </row>
    <row r="33" spans="3:9" x14ac:dyDescent="0.35">
      <c r="D33" s="1"/>
      <c r="G33" s="1"/>
      <c r="I33" s="10"/>
    </row>
    <row r="34" spans="3:9" x14ac:dyDescent="0.35">
      <c r="C34" t="s">
        <v>20</v>
      </c>
      <c r="D34" s="13">
        <f>10*CONVERT(D30,"lbm","kg")+6.25*CONVERT(D31,"in", "cm")-5*D32+5</f>
        <v>1827.5</v>
      </c>
      <c r="G34" s="1">
        <f>10*G30+6.25*G31-5*G32+5</f>
        <v>1827.5</v>
      </c>
      <c r="I34" s="10" t="s">
        <v>40</v>
      </c>
    </row>
    <row r="35" spans="3:9" x14ac:dyDescent="0.35">
      <c r="C35" t="s">
        <v>21</v>
      </c>
      <c r="D35" s="13">
        <f>10*CONVERT(D30,"lbm","kg")+6.25*CONVERT(D31,"in", "cm")-5*D32-161</f>
        <v>1661.5</v>
      </c>
      <c r="G35" s="1">
        <f>10*G30+6.25*G31-5*G32-161</f>
        <v>1661.5</v>
      </c>
      <c r="I35" s="10" t="s">
        <v>41</v>
      </c>
    </row>
    <row r="36" spans="3:9" x14ac:dyDescent="0.35">
      <c r="I36" s="10"/>
    </row>
    <row r="37" spans="3:9" x14ac:dyDescent="0.35">
      <c r="I37" s="10"/>
    </row>
    <row r="38" spans="3:9" x14ac:dyDescent="0.35">
      <c r="C38" s="9" t="s">
        <v>22</v>
      </c>
      <c r="I38" s="10"/>
    </row>
    <row r="39" spans="3:9" x14ac:dyDescent="0.35">
      <c r="I39" s="10"/>
    </row>
    <row r="40" spans="3:9" x14ac:dyDescent="0.35">
      <c r="D40" s="1" t="s">
        <v>2</v>
      </c>
      <c r="G40" s="1" t="s">
        <v>3</v>
      </c>
      <c r="I40" s="10"/>
    </row>
    <row r="41" spans="3:9" x14ac:dyDescent="0.35">
      <c r="C41" t="s">
        <v>16</v>
      </c>
      <c r="D41" s="4">
        <f>D30</f>
        <v>198.41603596638981</v>
      </c>
      <c r="F41" t="s">
        <v>19</v>
      </c>
      <c r="G41" s="4">
        <f>G30</f>
        <v>90</v>
      </c>
      <c r="I41" s="10" t="s">
        <v>34</v>
      </c>
    </row>
    <row r="42" spans="3:9" x14ac:dyDescent="0.35">
      <c r="C42" t="s">
        <v>24</v>
      </c>
      <c r="D42" s="6">
        <f>D13</f>
        <v>0.22132349394975498</v>
      </c>
      <c r="F42" t="s">
        <v>24</v>
      </c>
      <c r="G42" s="6">
        <f>G13</f>
        <v>0.22132349394975498</v>
      </c>
      <c r="I42" s="10" t="s">
        <v>36</v>
      </c>
    </row>
    <row r="43" spans="3:9" x14ac:dyDescent="0.35">
      <c r="C43" t="s">
        <v>26</v>
      </c>
      <c r="D43" s="7">
        <f>D41*D42</f>
        <v>43.914130335741639</v>
      </c>
      <c r="F43" t="s">
        <v>49</v>
      </c>
      <c r="G43" s="7">
        <f>G41*G42</f>
        <v>19.919114455477949</v>
      </c>
      <c r="I43" s="10" t="s">
        <v>38</v>
      </c>
    </row>
    <row r="44" spans="3:9" x14ac:dyDescent="0.35">
      <c r="C44" t="s">
        <v>25</v>
      </c>
      <c r="D44" s="7">
        <f>D41-D43</f>
        <v>154.50190563064817</v>
      </c>
      <c r="F44" t="s">
        <v>50</v>
      </c>
      <c r="G44" s="7">
        <f>G41-G43</f>
        <v>70.080885544522047</v>
      </c>
      <c r="I44" s="10" t="s">
        <v>37</v>
      </c>
    </row>
    <row r="45" spans="3:9" x14ac:dyDescent="0.35">
      <c r="C45" t="s">
        <v>48</v>
      </c>
      <c r="D45" s="14">
        <f>D44/D41</f>
        <v>0.77867650605024497</v>
      </c>
      <c r="F45" t="s">
        <v>48</v>
      </c>
      <c r="G45" s="14">
        <f>G44/G41</f>
        <v>0.77867650605024497</v>
      </c>
      <c r="I45" s="10" t="s">
        <v>47</v>
      </c>
    </row>
    <row r="46" spans="3:9" x14ac:dyDescent="0.35">
      <c r="I46" s="10"/>
    </row>
    <row r="47" spans="3:9" x14ac:dyDescent="0.35">
      <c r="C47" t="s">
        <v>23</v>
      </c>
      <c r="D47" s="7">
        <f>500+22*CONVERT(D44,"lbm","kg")</f>
        <v>2041.7794819794854</v>
      </c>
      <c r="F47" t="s">
        <v>23</v>
      </c>
      <c r="G47" s="7">
        <f>500+22*G44</f>
        <v>2041.7794819794851</v>
      </c>
      <c r="I47" s="10" t="s">
        <v>39</v>
      </c>
    </row>
    <row r="48" spans="3:9" x14ac:dyDescent="0.35">
      <c r="I48" s="11"/>
    </row>
    <row r="49" spans="2:9" x14ac:dyDescent="0.35">
      <c r="B49" t="s">
        <v>42</v>
      </c>
      <c r="I49" s="11"/>
    </row>
    <row r="50" spans="2:9" x14ac:dyDescent="0.35">
      <c r="C50" t="s">
        <v>52</v>
      </c>
      <c r="D50" s="5">
        <v>72</v>
      </c>
      <c r="F50" t="s">
        <v>7</v>
      </c>
      <c r="G50" s="2">
        <v>183</v>
      </c>
      <c r="I50" s="10" t="s">
        <v>31</v>
      </c>
    </row>
    <row r="51" spans="2:9" x14ac:dyDescent="0.35">
      <c r="C51" t="s">
        <v>16</v>
      </c>
      <c r="D51" s="5">
        <f>CONVERT(G51,"kg","lbm")</f>
        <v>198.41603596638981</v>
      </c>
      <c r="F51" t="s">
        <v>19</v>
      </c>
      <c r="G51" s="2">
        <v>90</v>
      </c>
      <c r="I51" s="10" t="s">
        <v>34</v>
      </c>
    </row>
    <row r="52" spans="2:9" x14ac:dyDescent="0.35">
      <c r="I52" s="11"/>
    </row>
    <row r="53" spans="2:9" x14ac:dyDescent="0.35">
      <c r="C53" t="s">
        <v>42</v>
      </c>
      <c r="D53" s="15">
        <f>CONVERT(D51, "lbm", "kg")/POWER(CONVERT(D50,"in","m"),2)</f>
        <v>26.909776041774307</v>
      </c>
      <c r="G53" s="15">
        <f>G51/G50/G50*10000</f>
        <v>26.874496103198066</v>
      </c>
      <c r="I53" s="11"/>
    </row>
    <row r="54" spans="2:9" x14ac:dyDescent="0.35">
      <c r="I54" s="11"/>
    </row>
    <row r="55" spans="2:9" x14ac:dyDescent="0.35">
      <c r="I55" s="11"/>
    </row>
    <row r="56" spans="2:9" x14ac:dyDescent="0.35">
      <c r="B56" t="s">
        <v>43</v>
      </c>
      <c r="I56" s="11"/>
    </row>
    <row r="57" spans="2:9" x14ac:dyDescent="0.35">
      <c r="I57" s="11"/>
    </row>
    <row r="58" spans="2:9" x14ac:dyDescent="0.35">
      <c r="C58" t="s">
        <v>44</v>
      </c>
      <c r="D58" s="17">
        <f>D47</f>
        <v>2041.7794819794854</v>
      </c>
      <c r="I58" s="10" t="s">
        <v>45</v>
      </c>
    </row>
    <row r="60" spans="2:9" x14ac:dyDescent="0.35">
      <c r="B60" t="s">
        <v>46</v>
      </c>
    </row>
    <row r="61" spans="2:9" x14ac:dyDescent="0.35">
      <c r="B61" s="18">
        <v>1.2</v>
      </c>
      <c r="C61" t="s">
        <v>53</v>
      </c>
      <c r="D61" s="7">
        <f>$D$58*B61</f>
        <v>2450.1353783753825</v>
      </c>
      <c r="I61" s="10" t="s">
        <v>58</v>
      </c>
    </row>
    <row r="62" spans="2:9" x14ac:dyDescent="0.35">
      <c r="B62" s="18">
        <v>1.375</v>
      </c>
      <c r="C62" t="s">
        <v>54</v>
      </c>
      <c r="D62" s="7">
        <f>$D$58*B62</f>
        <v>2807.4467877217921</v>
      </c>
      <c r="I62" s="10" t="s">
        <v>59</v>
      </c>
    </row>
    <row r="63" spans="2:9" x14ac:dyDescent="0.35">
      <c r="B63" s="18">
        <v>1.55</v>
      </c>
      <c r="C63" t="s">
        <v>55</v>
      </c>
      <c r="D63" s="7">
        <f>$D$58*B63</f>
        <v>3164.7581970682022</v>
      </c>
      <c r="I63" s="10" t="s">
        <v>60</v>
      </c>
    </row>
    <row r="64" spans="2:9" x14ac:dyDescent="0.35">
      <c r="B64" s="18">
        <v>1.7250000000000001</v>
      </c>
      <c r="C64" t="s">
        <v>56</v>
      </c>
      <c r="D64" s="7">
        <f>$D$58*B64</f>
        <v>3522.0696064146123</v>
      </c>
      <c r="I64" s="10" t="s">
        <v>61</v>
      </c>
    </row>
    <row r="65" spans="2:9" x14ac:dyDescent="0.35">
      <c r="B65" s="18">
        <v>1.9</v>
      </c>
      <c r="C65" t="s">
        <v>57</v>
      </c>
      <c r="D65" s="7">
        <f>$D$58*B65</f>
        <v>3879.3810157610219</v>
      </c>
      <c r="I65" s="10" t="s">
        <v>62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Andriy V. Samokhvalov</dc:creator>
  <cp:lastModifiedBy>Andriy V. Samokhvalov</cp:lastModifiedBy>
  <dcterms:created xsi:type="dcterms:W3CDTF">2022-10-23T04:26:13Z</dcterms:created>
  <dcterms:modified xsi:type="dcterms:W3CDTF">2022-12-23T21:31:42Z</dcterms:modified>
</cp:coreProperties>
</file>